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itya\Desktop\"/>
    </mc:Choice>
  </mc:AlternateContent>
  <xr:revisionPtr revIDLastSave="0" documentId="13_ncr:1_{67AF3477-137C-4CE6-AE6A-04EC4F54AC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puts" sheetId="1" r:id="rId1"/>
    <sheet name="Computation" sheetId="2" r:id="rId2"/>
    <sheet name="Advance Tax" sheetId="3" r:id="rId3"/>
    <sheet name="ReadMe &amp; Assumptions" sheetId="4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B8" i="3"/>
  <c r="B9" i="3"/>
  <c r="B6" i="2"/>
  <c r="B7" i="2"/>
  <c r="B8" i="2"/>
  <c r="B9" i="2"/>
  <c r="B11" i="2"/>
  <c r="B13" i="2" s="1"/>
  <c r="B12" i="2"/>
  <c r="B15" i="2"/>
  <c r="B19" i="2"/>
  <c r="B20" i="2"/>
  <c r="B21" i="2"/>
  <c r="B24" i="2"/>
  <c r="B3" i="2"/>
  <c r="B23" i="2"/>
  <c r="B36" i="2" s="1"/>
  <c r="B25" i="2"/>
  <c r="B37" i="2" s="1"/>
  <c r="B26" i="2"/>
  <c r="B27" i="2"/>
  <c r="B38" i="2"/>
  <c r="B28" i="2"/>
  <c r="B29" i="2"/>
  <c r="B39" i="2"/>
  <c r="B39" i="1"/>
  <c r="B52" i="2"/>
  <c r="C16" i="3"/>
  <c r="B16" i="3"/>
  <c r="C15" i="3"/>
  <c r="B15" i="3"/>
  <c r="C14" i="3"/>
  <c r="B14" i="3"/>
  <c r="C13" i="3"/>
  <c r="B13" i="3"/>
  <c r="B4" i="3"/>
  <c r="B14" i="2" l="1"/>
  <c r="B16" i="2"/>
  <c r="B17" i="2" s="1"/>
  <c r="B31" i="2"/>
  <c r="B42" i="2"/>
  <c r="B44" i="2" s="1"/>
  <c r="B46" i="2" s="1"/>
  <c r="B33" i="2"/>
  <c r="B34" i="2" s="1"/>
  <c r="B41" i="2" l="1"/>
  <c r="B45" i="2"/>
  <c r="B47" i="2" s="1"/>
  <c r="B49" i="2" l="1"/>
  <c r="B51" i="2" s="1"/>
  <c r="B53" i="2" l="1"/>
  <c r="B5" i="3" s="1"/>
  <c r="B10" i="3" s="1"/>
  <c r="B3" i="3"/>
  <c r="D13" i="3" l="1"/>
  <c r="D14" i="3" l="1"/>
  <c r="D15" i="3" s="1"/>
  <c r="D16" i="3" s="1"/>
</calcChain>
</file>

<file path=xl/sharedStrings.xml><?xml version="1.0" encoding="utf-8"?>
<sst xmlns="http://schemas.openxmlformats.org/spreadsheetml/2006/main" count="97" uniqueCount="97">
  <si>
    <t>Income Tax Calculator (New Regime) – FY 2025-26 (AY 2026-27)</t>
  </si>
  <si>
    <t>General Information</t>
  </si>
  <si>
    <t>Resident Individual (TRUE/FALSE)</t>
  </si>
  <si>
    <t>Age (years)</t>
  </si>
  <si>
    <t>Has Business/Professional Income? (TRUE/FALSE)</t>
  </si>
  <si>
    <t>Salary Income</t>
  </si>
  <si>
    <t>Gross Salary (Annual)</t>
  </si>
  <si>
    <t>Employer NPS Contribution u/s 80CCD(2)</t>
  </si>
  <si>
    <t>Standard Deduction (auto)</t>
  </si>
  <si>
    <t>House Property (Let-out)</t>
  </si>
  <si>
    <t>Annual Rent Received</t>
  </si>
  <si>
    <t>Municipal Taxes Paid</t>
  </si>
  <si>
    <t>Interest on Home Loan (Let-out only)</t>
  </si>
  <si>
    <t>Self-Occupied Interest (Not allowed in New Regime)</t>
  </si>
  <si>
    <t>Business / Professional Income (after allowable expense)</t>
  </si>
  <si>
    <t>Income from Other Sources</t>
  </si>
  <si>
    <t>Interest / Other</t>
  </si>
  <si>
    <t>Dividend Income</t>
  </si>
  <si>
    <t>Capital Gains</t>
  </si>
  <si>
    <t>STCG u/s 111A (Listed Equity/Equity MF/REIT with STT)</t>
  </si>
  <si>
    <t>STCG – Other Assets (taxed at slab)</t>
  </si>
  <si>
    <t>LTCG u/s 112A (Listed Equity/Equity MF/REIT)</t>
  </si>
  <si>
    <t>LTCG – Other Assets (gold, unlisted shares, etc.)</t>
  </si>
  <si>
    <t>Exemptions on LTCG–Other (Sec 54/54F/54EC)</t>
  </si>
  <si>
    <t>Property acquired BEFORE 23-07-2024: LTCG (without indexation)</t>
  </si>
  <si>
    <t>Property acquired BEFORE 23-07-2024: Indexed LTCG (old rules)</t>
  </si>
  <si>
    <t>Taxes already paid (TDS/TCS/Adv)</t>
  </si>
  <si>
    <t>TDS/TCS till 15 June</t>
  </si>
  <si>
    <t>TDS/TCS till 15 September</t>
  </si>
  <si>
    <t>TDS/TCS till 15 December</t>
  </si>
  <si>
    <t>TDS/TCS till 15 March</t>
  </si>
  <si>
    <t>Total TDS/TCS (auto)</t>
  </si>
  <si>
    <t>Notes:</t>
  </si>
  <si>
    <t>• Under the New Regime, self-occupied home loan interest (Sec 24(b)) is NOT allowed. For let-out, 30% standard deduction on NAV and full interest is allowed, but inter-head set-off of HP loss is generally disallowed.</t>
  </si>
  <si>
    <t>• STCG u/s 111A taxed at 20%. LTCG u/s 112A taxed at 12.5% on gains exceeding ₹1.25 lakh. Other LTCG taxed at 12.5% (no indexation).</t>
  </si>
  <si>
    <t>• For property acquired before 23-07-2024 and sold later, tax can be computed both ways – 12.5% (no indexation) vs 20% (with indexation); the lower tax applies per Finance Act 2024 proviso. Enter both LTCGs if applicable.</t>
  </si>
  <si>
    <t>• 87A rebate (₹60,000) applies ONLY to tax on normal income under new regime; capital gains taxed at special rates are excluded for rebate eligibility.</t>
  </si>
  <si>
    <t>Computation – New Regime (FY 2025-26)</t>
  </si>
  <si>
    <t>Resident?</t>
  </si>
  <si>
    <t>Age</t>
  </si>
  <si>
    <t>Salary – Gross</t>
  </si>
  <si>
    <t>Less: Standard Deduction</t>
  </si>
  <si>
    <t>Less: Employer NPS (80CCD(2))</t>
  </si>
  <si>
    <t>Taxable Salary</t>
  </si>
  <si>
    <t>House Property – GAV (Rent)</t>
  </si>
  <si>
    <t>Less: Municipal Taxes</t>
  </si>
  <si>
    <t>Net Annual Value (NAV)</t>
  </si>
  <si>
    <t>Less: Standard Deduction (30% of NAV)</t>
  </si>
  <si>
    <t>Less: Interest (Let-out only)</t>
  </si>
  <si>
    <t>House Property Income (calc)</t>
  </si>
  <si>
    <t>House Property counted in Total (no inter-head set-off of loss)</t>
  </si>
  <si>
    <t>Business/Profession Income</t>
  </si>
  <si>
    <t>Other Sources – Interest</t>
  </si>
  <si>
    <t>Other Sources – Dividend</t>
  </si>
  <si>
    <t>STCG u/s 111A</t>
  </si>
  <si>
    <t>STCG – Other</t>
  </si>
  <si>
    <t>LTCG u/s 112A</t>
  </si>
  <si>
    <t>LTCG – Other</t>
  </si>
  <si>
    <t>Exemptions on LTCG–Other (54/54F/54EC)</t>
  </si>
  <si>
    <t>Property – LTCG (no indexation)</t>
  </si>
  <si>
    <t>Property – Indexed LTCG (old rules)</t>
  </si>
  <si>
    <t>Normal Income subject to slabs</t>
  </si>
  <si>
    <t>Tax on Normal Income (before rebate)</t>
  </si>
  <si>
    <t>Rebate u/s 87A (New Regime)</t>
  </si>
  <si>
    <t>Tax on STCG u/s 111A (20%)</t>
  </si>
  <si>
    <t>Tax on LTCG u/s 112A (12.5% over ₹1.25L)</t>
  </si>
  <si>
    <t>Tax on LTCG – Other (12.5%)</t>
  </si>
  <si>
    <t>Tax on Property LTCG (lower of 12.5% no-index, 20% indexed)</t>
  </si>
  <si>
    <t>Total Tax before Surcharge &amp; Cess</t>
  </si>
  <si>
    <t>Total Taxable Income</t>
  </si>
  <si>
    <t>Surcharge Rate (%)</t>
  </si>
  <si>
    <t>Surcharge on Normal Tax</t>
  </si>
  <si>
    <t>Surcharge on Capital Gains Tax (capped at 15%)</t>
  </si>
  <si>
    <t>Total Surcharge</t>
  </si>
  <si>
    <t>Health &amp; Education Cess (4%)</t>
  </si>
  <si>
    <t>Net Tax Liability</t>
  </si>
  <si>
    <t>Less: TDS/TCS (Total)</t>
  </si>
  <si>
    <t>Balance Tax Payable</t>
  </si>
  <si>
    <t>Advance Tax Schedule – FY 2025-26</t>
  </si>
  <si>
    <t>Total Net Tax Liability</t>
  </si>
  <si>
    <t>Total TDS/TCS</t>
  </si>
  <si>
    <t>Balance Tax (after TDS/TCS)</t>
  </si>
  <si>
    <t>Senior Citizen (&gt;=60) without business/professional income is exempt from Advance Tax</t>
  </si>
  <si>
    <t>Senior?</t>
  </si>
  <si>
    <t>Has Business/Profession?</t>
  </si>
  <si>
    <t>Advance Tax Applicable?</t>
  </si>
  <si>
    <t>Quarter</t>
  </si>
  <si>
    <t>Cumulative Target</t>
  </si>
  <si>
    <t>TDS up to date</t>
  </si>
  <si>
    <t>Recommended Advance Tax Payment</t>
  </si>
  <si>
    <t>Q1 (by 15 June)</t>
  </si>
  <si>
    <t>Q2 (by 15 Sept)</t>
  </si>
  <si>
    <t>Q3 (by 15 Dec)</t>
  </si>
  <si>
    <t>Q4 (by 15 Mar)</t>
  </si>
  <si>
    <t>ReadMe – How to use &amp; Key Assumptions</t>
  </si>
  <si>
    <t>1) Fill the 'Inputs' sheet. The calculator applies New Regime slabs and special rates for capital gains.
2) For property acquired BEFORE 23-Jul-2024 and sold later, enter both LTCG without indexation and indexed LTCG; the tool takes the lower tax (12.5% vs 20% with indexation).
3) 87A rebate (₹60,000) is applied only to tax on normal income if you are Resident and normal taxable income ≤ ₹12,00,000. Capital gains are excluded for rebate eligibility.
4) Surcharge applies per total income slabs. Surcharge on capital gains is capped at 15%. Health &amp; Education Cess is 4%.
5) Advance Tax schedule shows recommended payments per statutory targets (15%/45%/75%/100%). Senior citizens (≥60) without business/professional income are exempt.</t>
  </si>
  <si>
    <t>Assumptions &amp; Limitations:
• House Property loss (if any) is NOT set off against other heads, per New Regime restrictions.
• This file does not compute interest u/s 234B/234C.
• If you claim roll-over exemptions (Sec 54/54F/54EC), enter amounts under 'Exemptions on LTCG–Other'.
• Professional tax deduction is not applied under the New Regime in this tool.
• For ULIPs/AIF/FII special cases introduced for AY 2026-27, use LTCG inputs under appropriate heads; specific treatment beyond rate alignment is not modelled.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</si>
</sst>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topLeftCell="A3" workbookViewId="0">
      <selection activeCell="B29" sqref="B29"/>
    </sheetView>
  </sheetViews>
  <sheetFormatPr defaultRowHeight="14.4" x14ac:dyDescent="0.3"/>
  <cols>
    <col min="1" max="6" width="28" customWidth="1"/>
  </cols>
  <sheetData>
    <row r="1" spans="1:6" ht="15.6" x14ac:dyDescent="0.3">
      <c r="A1" s="2" t="s">
        <v>0</v>
      </c>
      <c r="B1" s="3"/>
      <c r="C1" s="3"/>
      <c r="D1" s="3"/>
      <c r="E1" s="3"/>
      <c r="F1" s="3"/>
    </row>
    <row r="3" spans="1:6" x14ac:dyDescent="0.3">
      <c r="A3" s="1" t="s">
        <v>1</v>
      </c>
    </row>
    <row r="4" spans="1:6" x14ac:dyDescent="0.3">
      <c r="A4" t="s">
        <v>2</v>
      </c>
      <c r="B4" t="b">
        <v>1</v>
      </c>
    </row>
    <row r="5" spans="1:6" x14ac:dyDescent="0.3">
      <c r="A5" t="s">
        <v>3</v>
      </c>
      <c r="B5">
        <v>35</v>
      </c>
    </row>
    <row r="6" spans="1:6" x14ac:dyDescent="0.3">
      <c r="A6" t="s">
        <v>4</v>
      </c>
      <c r="B6" t="b">
        <v>0</v>
      </c>
    </row>
    <row r="8" spans="1:6" x14ac:dyDescent="0.3">
      <c r="A8" s="1" t="s">
        <v>5</v>
      </c>
    </row>
    <row r="9" spans="1:6" x14ac:dyDescent="0.3">
      <c r="A9" t="s">
        <v>6</v>
      </c>
      <c r="B9">
        <v>0</v>
      </c>
    </row>
    <row r="10" spans="1:6" x14ac:dyDescent="0.3">
      <c r="A10" t="s">
        <v>7</v>
      </c>
      <c r="B10">
        <v>0</v>
      </c>
    </row>
    <row r="11" spans="1:6" x14ac:dyDescent="0.3">
      <c r="A11" t="s">
        <v>8</v>
      </c>
      <c r="B11">
        <v>75000</v>
      </c>
    </row>
    <row r="13" spans="1:6" x14ac:dyDescent="0.3">
      <c r="A13" s="1" t="s">
        <v>9</v>
      </c>
    </row>
    <row r="14" spans="1:6" x14ac:dyDescent="0.3">
      <c r="A14" t="s">
        <v>10</v>
      </c>
      <c r="B14">
        <v>0</v>
      </c>
    </row>
    <row r="15" spans="1:6" x14ac:dyDescent="0.3">
      <c r="A15" t="s">
        <v>11</v>
      </c>
      <c r="B15">
        <v>0</v>
      </c>
    </row>
    <row r="16" spans="1:6" x14ac:dyDescent="0.3">
      <c r="A16" t="s">
        <v>12</v>
      </c>
      <c r="B16">
        <v>0</v>
      </c>
    </row>
    <row r="17" spans="1:2" x14ac:dyDescent="0.3">
      <c r="A17" t="s">
        <v>13</v>
      </c>
      <c r="B17">
        <v>0</v>
      </c>
    </row>
    <row r="19" spans="1:2" x14ac:dyDescent="0.3">
      <c r="A19" s="1" t="s">
        <v>14</v>
      </c>
      <c r="B19">
        <v>0</v>
      </c>
    </row>
    <row r="21" spans="1:2" x14ac:dyDescent="0.3">
      <c r="A21" s="1" t="s">
        <v>15</v>
      </c>
    </row>
    <row r="22" spans="1:2" x14ac:dyDescent="0.3">
      <c r="A22" t="s">
        <v>16</v>
      </c>
      <c r="B22">
        <v>0</v>
      </c>
    </row>
    <row r="23" spans="1:2" x14ac:dyDescent="0.3">
      <c r="A23" t="s">
        <v>17</v>
      </c>
      <c r="B23">
        <v>0</v>
      </c>
    </row>
    <row r="25" spans="1:2" x14ac:dyDescent="0.3">
      <c r="A25" s="1" t="s">
        <v>18</v>
      </c>
    </row>
    <row r="26" spans="1:2" x14ac:dyDescent="0.3">
      <c r="A26" t="s">
        <v>19</v>
      </c>
      <c r="B26">
        <v>0</v>
      </c>
    </row>
    <row r="27" spans="1:2" x14ac:dyDescent="0.3">
      <c r="A27" t="s">
        <v>20</v>
      </c>
      <c r="B27">
        <v>0</v>
      </c>
    </row>
    <row r="28" spans="1:2" x14ac:dyDescent="0.3">
      <c r="A28" t="s">
        <v>21</v>
      </c>
      <c r="B28">
        <v>0</v>
      </c>
    </row>
    <row r="29" spans="1:2" x14ac:dyDescent="0.3">
      <c r="A29" t="s">
        <v>22</v>
      </c>
      <c r="B29">
        <v>0</v>
      </c>
    </row>
    <row r="30" spans="1:2" x14ac:dyDescent="0.3">
      <c r="A30" t="s">
        <v>23</v>
      </c>
      <c r="B30">
        <v>0</v>
      </c>
    </row>
    <row r="31" spans="1:2" x14ac:dyDescent="0.3">
      <c r="A31" t="s">
        <v>24</v>
      </c>
      <c r="B31">
        <v>0</v>
      </c>
    </row>
    <row r="32" spans="1:2" x14ac:dyDescent="0.3">
      <c r="A32" t="s">
        <v>25</v>
      </c>
      <c r="B32">
        <v>0</v>
      </c>
    </row>
    <row r="34" spans="1:2" x14ac:dyDescent="0.3">
      <c r="A34" s="1" t="s">
        <v>26</v>
      </c>
    </row>
    <row r="35" spans="1:2" x14ac:dyDescent="0.3">
      <c r="A35" t="s">
        <v>27</v>
      </c>
      <c r="B35">
        <v>0</v>
      </c>
    </row>
    <row r="36" spans="1:2" x14ac:dyDescent="0.3">
      <c r="A36" t="s">
        <v>28</v>
      </c>
      <c r="B36">
        <v>0</v>
      </c>
    </row>
    <row r="37" spans="1:2" x14ac:dyDescent="0.3">
      <c r="A37" t="s">
        <v>29</v>
      </c>
      <c r="B37">
        <v>0</v>
      </c>
    </row>
    <row r="38" spans="1:2" x14ac:dyDescent="0.3">
      <c r="A38" t="s">
        <v>30</v>
      </c>
      <c r="B38">
        <v>0</v>
      </c>
    </row>
    <row r="39" spans="1:2" x14ac:dyDescent="0.3">
      <c r="A39" t="s">
        <v>31</v>
      </c>
      <c r="B39">
        <f>SUM(B35:B38)</f>
        <v>0</v>
      </c>
    </row>
    <row r="41" spans="1:2" x14ac:dyDescent="0.3">
      <c r="A41" t="s">
        <v>32</v>
      </c>
    </row>
    <row r="42" spans="1:2" x14ac:dyDescent="0.3">
      <c r="A42" t="s">
        <v>33</v>
      </c>
    </row>
    <row r="43" spans="1:2" x14ac:dyDescent="0.3">
      <c r="A43" t="s">
        <v>34</v>
      </c>
    </row>
    <row r="44" spans="1:2" x14ac:dyDescent="0.3">
      <c r="A44" t="s">
        <v>35</v>
      </c>
    </row>
    <row r="45" spans="1:2" x14ac:dyDescent="0.3">
      <c r="A45" t="s">
        <v>36</v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3"/>
  <sheetViews>
    <sheetView topLeftCell="A27" workbookViewId="0">
      <selection activeCell="B34" sqref="B34"/>
    </sheetView>
  </sheetViews>
  <sheetFormatPr defaultRowHeight="14.4" x14ac:dyDescent="0.3"/>
  <cols>
    <col min="1" max="8" width="28" customWidth="1"/>
  </cols>
  <sheetData>
    <row r="1" spans="1:8" ht="15.6" x14ac:dyDescent="0.3">
      <c r="A1" s="2" t="s">
        <v>37</v>
      </c>
      <c r="B1" s="3"/>
      <c r="C1" s="3"/>
      <c r="D1" s="3"/>
      <c r="E1" s="3"/>
      <c r="F1" s="3"/>
      <c r="G1" s="3"/>
      <c r="H1" s="3"/>
    </row>
    <row r="3" spans="1:8" x14ac:dyDescent="0.3">
      <c r="A3" t="s">
        <v>38</v>
      </c>
      <c r="B3" t="b">
        <f>Inputs!B4</f>
        <v>1</v>
      </c>
    </row>
    <row r="4" spans="1:8" x14ac:dyDescent="0.3">
      <c r="A4" t="s">
        <v>39</v>
      </c>
      <c r="B4">
        <f>Inputs!B5</f>
        <v>35</v>
      </c>
    </row>
    <row r="6" spans="1:8" x14ac:dyDescent="0.3">
      <c r="A6" t="s">
        <v>40</v>
      </c>
      <c r="B6">
        <f>Inputs!B9</f>
        <v>0</v>
      </c>
    </row>
    <row r="7" spans="1:8" x14ac:dyDescent="0.3">
      <c r="A7" t="s">
        <v>41</v>
      </c>
      <c r="B7">
        <f>Inputs!B11</f>
        <v>75000</v>
      </c>
    </row>
    <row r="8" spans="1:8" x14ac:dyDescent="0.3">
      <c r="A8" t="s">
        <v>42</v>
      </c>
      <c r="B8">
        <f>Inputs!B10</f>
        <v>0</v>
      </c>
    </row>
    <row r="9" spans="1:8" x14ac:dyDescent="0.3">
      <c r="A9" t="s">
        <v>43</v>
      </c>
      <c r="B9">
        <f>MAX(0,B6 - B7 - B8)</f>
        <v>0</v>
      </c>
    </row>
    <row r="11" spans="1:8" x14ac:dyDescent="0.3">
      <c r="A11" t="s">
        <v>44</v>
      </c>
      <c r="B11">
        <f>Inputs!B14</f>
        <v>0</v>
      </c>
    </row>
    <row r="12" spans="1:8" x14ac:dyDescent="0.3">
      <c r="A12" t="s">
        <v>45</v>
      </c>
      <c r="B12">
        <f>Inputs!B15</f>
        <v>0</v>
      </c>
    </row>
    <row r="13" spans="1:8" x14ac:dyDescent="0.3">
      <c r="A13" t="s">
        <v>46</v>
      </c>
      <c r="B13">
        <f>MAX(0,B11 - B12)</f>
        <v>0</v>
      </c>
    </row>
    <row r="14" spans="1:8" x14ac:dyDescent="0.3">
      <c r="A14" t="s">
        <v>47</v>
      </c>
      <c r="B14">
        <f>ROUND(B13*0.3,0)</f>
        <v>0</v>
      </c>
    </row>
    <row r="15" spans="1:8" x14ac:dyDescent="0.3">
      <c r="A15" t="s">
        <v>48</v>
      </c>
      <c r="B15">
        <f>Inputs!B16</f>
        <v>0</v>
      </c>
    </row>
    <row r="16" spans="1:8" x14ac:dyDescent="0.3">
      <c r="A16" t="s">
        <v>49</v>
      </c>
      <c r="B16">
        <f>B13 - B14 - B15</f>
        <v>0</v>
      </c>
    </row>
    <row r="17" spans="1:2" x14ac:dyDescent="0.3">
      <c r="A17" t="s">
        <v>50</v>
      </c>
      <c r="B17">
        <f>MAX(0,B16)</f>
        <v>0</v>
      </c>
    </row>
    <row r="19" spans="1:2" x14ac:dyDescent="0.3">
      <c r="A19" t="s">
        <v>51</v>
      </c>
      <c r="B19">
        <f>Inputs!B19</f>
        <v>0</v>
      </c>
    </row>
    <row r="20" spans="1:2" x14ac:dyDescent="0.3">
      <c r="A20" t="s">
        <v>52</v>
      </c>
      <c r="B20">
        <f>Inputs!B22</f>
        <v>0</v>
      </c>
    </row>
    <row r="21" spans="1:2" x14ac:dyDescent="0.3">
      <c r="A21" t="s">
        <v>53</v>
      </c>
      <c r="B21">
        <f>Inputs!B23</f>
        <v>0</v>
      </c>
    </row>
    <row r="23" spans="1:2" x14ac:dyDescent="0.3">
      <c r="A23" t="s">
        <v>54</v>
      </c>
      <c r="B23">
        <f>Inputs!B26</f>
        <v>0</v>
      </c>
    </row>
    <row r="24" spans="1:2" x14ac:dyDescent="0.3">
      <c r="A24" t="s">
        <v>55</v>
      </c>
      <c r="B24">
        <f>Inputs!B27</f>
        <v>0</v>
      </c>
    </row>
    <row r="25" spans="1:2" x14ac:dyDescent="0.3">
      <c r="A25" t="s">
        <v>56</v>
      </c>
      <c r="B25">
        <f>Inputs!B28</f>
        <v>0</v>
      </c>
    </row>
    <row r="26" spans="1:2" x14ac:dyDescent="0.3">
      <c r="A26" t="s">
        <v>57</v>
      </c>
      <c r="B26">
        <f>Inputs!B29</f>
        <v>0</v>
      </c>
    </row>
    <row r="27" spans="1:2" x14ac:dyDescent="0.3">
      <c r="A27" t="s">
        <v>58</v>
      </c>
      <c r="B27">
        <f>Inputs!B30</f>
        <v>0</v>
      </c>
    </row>
    <row r="28" spans="1:2" x14ac:dyDescent="0.3">
      <c r="A28" t="s">
        <v>59</v>
      </c>
      <c r="B28">
        <f>Inputs!B31</f>
        <v>0</v>
      </c>
    </row>
    <row r="29" spans="1:2" x14ac:dyDescent="0.3">
      <c r="A29" t="s">
        <v>60</v>
      </c>
      <c r="B29">
        <f>Inputs!B32</f>
        <v>0</v>
      </c>
    </row>
    <row r="31" spans="1:2" x14ac:dyDescent="0.3">
      <c r="A31" t="s">
        <v>61</v>
      </c>
      <c r="B31">
        <f>B9 + B17 + B19 + B20 + B21 + B24</f>
        <v>0</v>
      </c>
    </row>
    <row r="33" spans="1:2" x14ac:dyDescent="0.3">
      <c r="A33" t="s">
        <v>62</v>
      </c>
      <c r="B33">
        <f>MAX(0,MIN(B31,400000)-0)*0+MAX(0,MIN(B31,800000)-400000)*0.05+MAX(0,MIN(B31,1200000)-800000)*0.1+MAX(0,MIN(B31,1600000)-1200000)*0.15+MAX(0,MIN(B31,2000000)-1600000)*0.2+MAX(0,MIN(B31,2400000)-2000000)*0.25+MAX(0,B31-2400000)*0.3</f>
        <v>0</v>
      </c>
    </row>
    <row r="34" spans="1:2" x14ac:dyDescent="0.3">
      <c r="A34" t="s">
        <v>63</v>
      </c>
      <c r="B34">
        <f>IF(AND(B3=TRUE,B31&lt;=1200000),MIN(B33,60000),0)</f>
        <v>0</v>
      </c>
    </row>
    <row r="36" spans="1:2" x14ac:dyDescent="0.3">
      <c r="A36" t="s">
        <v>64</v>
      </c>
      <c r="B36">
        <f>ROUND(B23*0.2,0)</f>
        <v>0</v>
      </c>
    </row>
    <row r="37" spans="1:2" x14ac:dyDescent="0.3">
      <c r="A37" t="s">
        <v>65</v>
      </c>
      <c r="B37">
        <f>ROUND(MAX(0,B25-125000)*0.125,0)</f>
        <v>0</v>
      </c>
    </row>
    <row r="38" spans="1:2" x14ac:dyDescent="0.3">
      <c r="A38" t="s">
        <v>66</v>
      </c>
      <c r="B38">
        <f>ROUND(MAX(0,B26-B27)*0.125,0)</f>
        <v>0</v>
      </c>
    </row>
    <row r="39" spans="1:2" x14ac:dyDescent="0.3">
      <c r="A39" t="s">
        <v>67</v>
      </c>
      <c r="B39">
        <f>IF(OR(B28&gt;0,B29&gt;0),MIN(ROUND(B28*0.125,0),ROUND(B29*0.2,0)),0)</f>
        <v>0</v>
      </c>
    </row>
    <row r="41" spans="1:2" x14ac:dyDescent="0.3">
      <c r="A41" t="s">
        <v>68</v>
      </c>
      <c r="B41">
        <f>ROUND(B33 - B34 + B36 + B37 + B38 + B39,0)</f>
        <v>0</v>
      </c>
    </row>
    <row r="42" spans="1:2" x14ac:dyDescent="0.3">
      <c r="A42" t="s">
        <v>69</v>
      </c>
      <c r="B42">
        <f>B31 + B23 + B25 + MAX(0,B26-B27) + B28</f>
        <v>0</v>
      </c>
    </row>
    <row r="44" spans="1:2" x14ac:dyDescent="0.3">
      <c r="A44" t="s">
        <v>70</v>
      </c>
      <c r="B44">
        <f>IF(B42&lt;=5000000,0,IF(B42&lt;=10000000,10,IF(B42&lt;=20000000,15,IF(B42&lt;=50000000,25,25))))</f>
        <v>0</v>
      </c>
    </row>
    <row r="45" spans="1:2" x14ac:dyDescent="0.3">
      <c r="A45" t="s">
        <v>71</v>
      </c>
      <c r="B45">
        <f>ROUND((B33-B34)*B44/100,0)</f>
        <v>0</v>
      </c>
    </row>
    <row r="46" spans="1:2" x14ac:dyDescent="0.3">
      <c r="A46" t="s">
        <v>72</v>
      </c>
      <c r="B46">
        <f>ROUND((B36+B37+B38+B39)*MIN(B44/100,0.15),0)</f>
        <v>0</v>
      </c>
    </row>
    <row r="47" spans="1:2" x14ac:dyDescent="0.3">
      <c r="A47" t="s">
        <v>73</v>
      </c>
      <c r="B47">
        <f>B45+B46</f>
        <v>0</v>
      </c>
    </row>
    <row r="49" spans="1:2" x14ac:dyDescent="0.3">
      <c r="A49" t="s">
        <v>74</v>
      </c>
      <c r="B49">
        <f>ROUND((B41+B47)*0.04,0)</f>
        <v>0</v>
      </c>
    </row>
    <row r="51" spans="1:2" x14ac:dyDescent="0.3">
      <c r="A51" t="s">
        <v>75</v>
      </c>
      <c r="B51">
        <f>ROUND(B41+B47+B49,0)</f>
        <v>0</v>
      </c>
    </row>
    <row r="52" spans="1:2" x14ac:dyDescent="0.3">
      <c r="A52" t="s">
        <v>76</v>
      </c>
      <c r="B52">
        <f>Inputs!B39</f>
        <v>0</v>
      </c>
    </row>
    <row r="53" spans="1:2" x14ac:dyDescent="0.3">
      <c r="A53" t="s">
        <v>77</v>
      </c>
      <c r="B53">
        <f>MAX(0,B51-B52)</f>
        <v>0</v>
      </c>
    </row>
  </sheetData>
  <mergeCells count="1"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6"/>
  <sheetViews>
    <sheetView workbookViewId="0">
      <selection sqref="A1:H1"/>
    </sheetView>
  </sheetViews>
  <sheetFormatPr defaultRowHeight="14.4" x14ac:dyDescent="0.3"/>
  <cols>
    <col min="1" max="5" width="28" customWidth="1"/>
  </cols>
  <sheetData>
    <row r="1" spans="1:8" ht="15.6" x14ac:dyDescent="0.3">
      <c r="A1" s="2" t="s">
        <v>78</v>
      </c>
      <c r="B1" s="3"/>
      <c r="C1" s="3"/>
      <c r="D1" s="3"/>
      <c r="E1" s="3"/>
      <c r="F1" s="3"/>
      <c r="G1" s="3"/>
      <c r="H1" s="3"/>
    </row>
    <row r="3" spans="1:8" x14ac:dyDescent="0.3">
      <c r="A3" t="s">
        <v>79</v>
      </c>
      <c r="B3">
        <f>Computation!B51</f>
        <v>0</v>
      </c>
    </row>
    <row r="4" spans="1:8" x14ac:dyDescent="0.3">
      <c r="A4" t="s">
        <v>80</v>
      </c>
      <c r="B4">
        <f>Inputs!B39</f>
        <v>0</v>
      </c>
    </row>
    <row r="5" spans="1:8" x14ac:dyDescent="0.3">
      <c r="A5" t="s">
        <v>81</v>
      </c>
      <c r="B5">
        <f>Computation!B53</f>
        <v>0</v>
      </c>
    </row>
    <row r="7" spans="1:8" x14ac:dyDescent="0.3">
      <c r="A7" t="s">
        <v>82</v>
      </c>
    </row>
    <row r="8" spans="1:8" x14ac:dyDescent="0.3">
      <c r="A8" t="s">
        <v>83</v>
      </c>
      <c r="B8" t="b">
        <f>IF(Computation!B4&gt;=60,TRUE,FALSE)</f>
        <v>0</v>
      </c>
    </row>
    <row r="9" spans="1:8" x14ac:dyDescent="0.3">
      <c r="A9" t="s">
        <v>84</v>
      </c>
      <c r="B9" t="b">
        <f>Inputs!B6</f>
        <v>0</v>
      </c>
    </row>
    <row r="10" spans="1:8" x14ac:dyDescent="0.3">
      <c r="A10" t="s">
        <v>85</v>
      </c>
      <c r="B10" t="b">
        <f>IF(AND(B8=TRUE,B9=FALSE),FALSE,IF(B5&gt;10000,TRUE,FALSE))</f>
        <v>0</v>
      </c>
    </row>
    <row r="12" spans="1:8" x14ac:dyDescent="0.3">
      <c r="A12" t="s">
        <v>86</v>
      </c>
      <c r="B12" t="s">
        <v>87</v>
      </c>
      <c r="C12" t="s">
        <v>88</v>
      </c>
      <c r="D12" t="s">
        <v>89</v>
      </c>
    </row>
    <row r="13" spans="1:8" x14ac:dyDescent="0.3">
      <c r="A13" t="s">
        <v>90</v>
      </c>
      <c r="B13">
        <f>0.15</f>
        <v>0.15</v>
      </c>
      <c r="C13">
        <f>Inputs!B35</f>
        <v>0</v>
      </c>
      <c r="D13">
        <f>IF(B10=FALSE,0,MAX(0,B13*$B$3 - C13))</f>
        <v>0</v>
      </c>
    </row>
    <row r="14" spans="1:8" x14ac:dyDescent="0.3">
      <c r="A14" t="s">
        <v>91</v>
      </c>
      <c r="B14">
        <f>0.45</f>
        <v>0.45</v>
      </c>
      <c r="C14">
        <f>Inputs!B36</f>
        <v>0</v>
      </c>
      <c r="D14">
        <f>IF(B10=FALSE,0,MAX(0,B14*$B$3 - C14 - (D13)))</f>
        <v>0</v>
      </c>
    </row>
    <row r="15" spans="1:8" x14ac:dyDescent="0.3">
      <c r="A15" t="s">
        <v>92</v>
      </c>
      <c r="B15">
        <f>0.75</f>
        <v>0.75</v>
      </c>
      <c r="C15">
        <f>Inputs!B37</f>
        <v>0</v>
      </c>
      <c r="D15">
        <f>IF(B10=FALSE,0,MAX(0,B15*$B$3 - C15 - (D13+D14)))</f>
        <v>0</v>
      </c>
    </row>
    <row r="16" spans="1:8" x14ac:dyDescent="0.3">
      <c r="A16" t="s">
        <v>93</v>
      </c>
      <c r="B16">
        <f>1</f>
        <v>1</v>
      </c>
      <c r="C16">
        <f>Inputs!B38</f>
        <v>0</v>
      </c>
      <c r="D16">
        <f>IF(B10=FALSE,0,MAX(0,B16*$B$3 - C16 - (D13+D14+D15)))</f>
        <v>0</v>
      </c>
    </row>
  </sheetData>
  <mergeCells count="1"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workbookViewId="0">
      <selection sqref="A1:F1"/>
    </sheetView>
  </sheetViews>
  <sheetFormatPr defaultRowHeight="14.4" x14ac:dyDescent="0.3"/>
  <cols>
    <col min="1" max="6" width="28" customWidth="1"/>
  </cols>
  <sheetData>
    <row r="1" spans="1:6" ht="15.6" x14ac:dyDescent="0.3">
      <c r="A1" s="2" t="s">
        <v>94</v>
      </c>
      <c r="B1" s="3"/>
      <c r="C1" s="3"/>
      <c r="D1" s="3"/>
      <c r="E1" s="3"/>
      <c r="F1" s="3"/>
    </row>
    <row r="3" spans="1:6" x14ac:dyDescent="0.3">
      <c r="A3" t="s">
        <v>95</v>
      </c>
    </row>
    <row r="5" spans="1:6" x14ac:dyDescent="0.3">
      <c r="A5" t="s">
        <v>96</v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Inputs</vt:lpstr>
      <vt:lpstr>Computation</vt:lpstr>
      <vt:lpstr>Advance Tax</vt:lpstr>
      <vt:lpstr>ReadMe &amp; Assumptions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athbpx7</cp:lastModifiedBy>
  <dcterms:created xsi:type="dcterms:W3CDTF">2025-12-14T20:00:03Z</dcterms:created>
  <dcterms:modified xsi:type="dcterms:W3CDTF">2025-12-15T07:01:15Z</dcterms:modified>
</cp:coreProperties>
</file>